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550EC233-EEE4-4C2F-9F21-D6BC8DBA0B23}" xr6:coauthVersionLast="47" xr6:coauthVersionMax="47" xr10:uidLastSave="{00000000-0000-0000-0000-000000000000}"/>
  <bookViews>
    <workbookView xWindow="38280" yWindow="0" windowWidth="38640" windowHeight="21120" tabRatio="777" activeTab="1" xr2:uid="{18141AAC-42D5-42B5-93A4-464ECB81ACEB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3" l="1"/>
  <c r="D12" i="13"/>
  <c r="E54" i="9"/>
  <c r="D6" i="13"/>
  <c r="E43" i="9"/>
  <c r="E35" i="9"/>
  <c r="E55" i="9"/>
  <c r="E60" i="9" s="1"/>
  <c r="D10" i="13"/>
  <c r="E39" i="9"/>
  <c r="D11" i="13"/>
  <c r="E32" i="9"/>
  <c r="E33" i="9"/>
  <c r="E31" i="9"/>
  <c r="E30" i="9"/>
  <c r="E29" i="9"/>
  <c r="D8" i="13"/>
  <c r="E27" i="9"/>
  <c r="E26" i="9"/>
  <c r="E25" i="9" s="1"/>
  <c r="E18" i="10"/>
  <c r="D35" i="10"/>
  <c r="E19" i="9" s="1"/>
  <c r="C35" i="10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B2" i="14"/>
  <c r="C20" i="14"/>
  <c r="C3" i="13"/>
  <c r="D49" i="13"/>
  <c r="E59" i="9"/>
  <c r="C3" i="12"/>
  <c r="D12" i="12"/>
  <c r="E41" i="9"/>
  <c r="D3" i="11"/>
  <c r="F28" i="11"/>
  <c r="E21" i="9" s="1"/>
  <c r="E33" i="11"/>
  <c r="C3" i="10"/>
  <c r="E9" i="10"/>
  <c r="E10" i="10"/>
  <c r="E11" i="10"/>
  <c r="E16" i="10"/>
  <c r="E17" i="10"/>
  <c r="E21" i="10"/>
  <c r="E22" i="10"/>
  <c r="E23" i="10"/>
  <c r="E24" i="10"/>
  <c r="E26" i="10"/>
  <c r="E27" i="10"/>
  <c r="E28" i="10"/>
  <c r="E29" i="10"/>
  <c r="E30" i="10"/>
  <c r="E33" i="10"/>
  <c r="E34" i="10"/>
  <c r="D26" i="13" l="1"/>
  <c r="E44" i="9" s="1"/>
  <c r="E45" i="9" s="1"/>
  <c r="D39" i="10"/>
  <c r="C42" i="15"/>
  <c r="C43" i="15" s="1"/>
  <c r="A70" i="9" s="1"/>
  <c r="E18" i="9"/>
  <c r="E35" i="10"/>
  <c r="E20" i="9" s="1"/>
  <c r="E22" i="9" s="1"/>
  <c r="E48" i="9" l="1"/>
  <c r="E63" i="9" s="1"/>
</calcChain>
</file>

<file path=xl/sharedStrings.xml><?xml version="1.0" encoding="utf-8"?>
<sst xmlns="http://schemas.openxmlformats.org/spreadsheetml/2006/main" count="373" uniqueCount="267">
  <si>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</si>
  <si>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</si>
  <si>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</si>
  <si>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</si>
  <si>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</si>
  <si>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</si>
  <si>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</si>
  <si>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</si>
  <si>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</si>
  <si>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</si>
  <si>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</si>
  <si>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</si>
  <si>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</si>
  <si>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</si>
  <si>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</si>
  <si>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</si>
  <si>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</si>
  <si>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</si>
  <si>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</si>
  <si>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</si>
  <si>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</si>
  <si>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</si>
  <si>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</si>
  <si>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</si>
  <si>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</si>
  <si>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</si>
  <si>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</si>
  <si>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</si>
  <si>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</si>
  <si>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</si>
  <si>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</si>
  <si>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</si>
  <si>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</si>
  <si>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</si>
  <si>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</si>
  <si>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</si>
  <si>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</si>
  <si>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</si>
  <si>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</si>
  <si>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</si>
  <si>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</si>
  <si>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</si>
  <si>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</si>
  <si>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</si>
  <si>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</si>
  <si>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</si>
  <si>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</si>
  <si>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</si>
  <si>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</si>
  <si>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</si>
  <si>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</si>
  <si>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</si>
  <si>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</si>
  <si>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</si>
  <si>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</si>
  <si>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</si>
  <si>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</si>
  <si>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</si>
  <si>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</si>
  <si>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</si>
  <si>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</si>
  <si>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</si>
  <si>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</si>
  <si>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</si>
  <si>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</si>
  <si>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</si>
  <si>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</si>
  <si>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</si>
  <si>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</si>
  <si>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</si>
  <si>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</si>
  <si>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</si>
  <si>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</si>
  <si>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</si>
  <si>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</si>
  <si>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</si>
  <si>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</si>
  <si>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</si>
  <si>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</si>
  <si>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</si>
  <si>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</si>
  <si>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</si>
  <si>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</si>
  <si>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</si>
  <si>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</si>
  <si>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</si>
  <si>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</si>
  <si>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</si>
  <si>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</si>
  <si>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</si>
  <si>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</si>
  <si>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</si>
  <si>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</si>
  <si>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</si>
  <si>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</si>
  <si>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</si>
  <si>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</si>
  <si>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</si>
  <si>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</si>
  <si>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</si>
  <si>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</si>
  <si>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</si>
  <si>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</si>
  <si>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</si>
  <si>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</si>
  <si>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</si>
  <si>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</si>
  <si>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</si>
  <si>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</si>
  <si>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</si>
  <si>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</si>
  <si>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</si>
  <si>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</si>
  <si>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</si>
  <si>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</si>
  <si>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</si>
  <si>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</si>
  <si>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</si>
  <si>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</si>
  <si>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</si>
  <si>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</si>
  <si>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</si>
  <si>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</si>
  <si>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</si>
  <si>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</si>
  <si>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</si>
  <si>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</si>
  <si>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</si>
  <si>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</si>
  <si>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</si>
  <si>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</si>
  <si>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</si>
  <si>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</si>
  <si>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</si>
  <si>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</si>
  <si>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</si>
  <si>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</si>
  <si>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</si>
  <si>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</si>
  <si>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</si>
  <si>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</si>
  <si>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</si>
  <si>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</si>
  <si>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</si>
  <si>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</si>
  <si>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</si>
  <si>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</si>
  <si>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</si>
  <si>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</si>
  <si>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</si>
  <si>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</si>
  <si>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</si>
  <si>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</si>
  <si>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</si>
  <si>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</si>
  <si>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</si>
  <si>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</si>
  <si>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</si>
  <si>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</si>
  <si>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</si>
  <si>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</si>
  <si>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</si>
  <si>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</si>
  <si>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</si>
  <si>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</si>
  <si>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</si>
  <si>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</si>
  <si>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</si>
  <si>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</si>
  <si>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</si>
  <si>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</si>
  <si>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</si>
  <si>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</si>
  <si>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</si>
  <si>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</si>
  <si>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</si>
  <si>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</si>
  <si>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</si>
  <si>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</si>
  <si>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</si>
  <si>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</si>
  <si>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</si>
  <si>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</si>
  <si>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</si>
  <si>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</si>
  <si>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</si>
  <si>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</si>
  <si>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</si>
  <si>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</si>
  <si>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</si>
  <si>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</si>
  <si>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</si>
  <si>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</si>
  <si>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</si>
  <si>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</si>
  <si>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</si>
  <si>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</si>
  <si>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</si>
  <si>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</si>
  <si>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</si>
  <si>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</si>
  <si>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</si>
  <si>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</si>
  <si>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</si>
  <si>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</si>
  <si>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</si>
  <si>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</si>
  <si>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</si>
  <si>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</si>
  <si>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</si>
  <si>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</si>
  <si>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</si>
  <si>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</si>
  <si>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</si>
  <si>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</si>
  <si>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</si>
  <si>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</si>
  <si>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</si>
  <si>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</si>
  <si>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</si>
  <si>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</si>
  <si>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</si>
  <si>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</si>
  <si>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</si>
  <si>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</si>
  <si>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</si>
  <si>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</si>
  <si>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</si>
  <si>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</si>
  <si>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</si>
  <si>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</si>
  <si>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</si>
  <si>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t>DHI Title Insurance Company</t>
  </si>
  <si>
    <t>Doma Title Insurance Company</t>
  </si>
  <si>
    <t>American Digital Title Insurance Company</t>
  </si>
  <si>
    <t>For Calendar Year Ending December 31, 2024</t>
  </si>
  <si>
    <t>For the Calendar Year Ending December 31, 2024</t>
  </si>
  <si>
    <t>American Eagle Title Insurance Company</t>
  </si>
  <si>
    <t>Connecticut Attorneys Title Insurance</t>
  </si>
  <si>
    <t>New Mexico</t>
  </si>
  <si>
    <r>
      <t xml:space="preserve">SUBSCRIBED AND SWORN BEFORE ME </t>
    </r>
    <r>
      <rPr>
        <sz val="10"/>
        <rFont val="Arial"/>
        <family val="2"/>
      </rPr>
      <t>this _____day of _______________, 2025.</t>
    </r>
  </si>
  <si>
    <t>Pioneer Abstract &amp; Title Co of Alamogordo Inc</t>
  </si>
  <si>
    <t>909 Delaware Ave, Alamogorde, NM 8810</t>
  </si>
  <si>
    <t>Tiffany Thompson</t>
  </si>
  <si>
    <t>X</t>
  </si>
  <si>
    <t>Tina Deer</t>
  </si>
  <si>
    <t>Jimmy Deer</t>
  </si>
  <si>
    <t>I, Jimmy Deer, the owner of Pioneer Abstract &amp; Title Co of Alamogordo Inc,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</si>
  <si>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Bank Charges</t>
  </si>
  <si>
    <t>Computer &amp; Software</t>
  </si>
  <si>
    <t>Dues &amp; Subscriptions</t>
  </si>
  <si>
    <t>Express Mail</t>
  </si>
  <si>
    <t>Meals</t>
  </si>
  <si>
    <t>Postage</t>
  </si>
  <si>
    <t>Utilities</t>
  </si>
  <si>
    <t>Office Expense</t>
  </si>
  <si>
    <t>Professional Fees</t>
  </si>
  <si>
    <t>Charitable Contributions</t>
  </si>
  <si>
    <t>Qualia Tech Fee</t>
  </si>
  <si>
    <t>Wire Fees</t>
  </si>
  <si>
    <t>Other Income</t>
  </si>
  <si>
    <t>NSF Income</t>
  </si>
  <si>
    <t>Collection Fees</t>
  </si>
  <si>
    <t>Assignments</t>
  </si>
  <si>
    <t>Closeout Fees</t>
  </si>
  <si>
    <t>Settlement</t>
  </si>
  <si>
    <t>Background Checks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</si>
</sst>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" xfId="2" xr:uid="{2415F044-F19F-455D-8350-BC664832CADD}"/>
    <cellStyle name="Normal_NM Title Insurance - Agents Statistical Report 2006" xfId="3" xr:uid="{AFDAD017-DC67-423B-B1AF-066A5B0999DD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0DC-1D26-4DE7-B4B4-58CA50CAB84F}">
  <sheetPr codeName="Sheet6">
    <pageSetUpPr fitToPage="1"/>
  </sheetPr>
  <dimension ref="A1:I26"/>
  <sheetViews>
    <sheetView zoomScaleNormal="100" workbookViewId="0">
      <selection activeCell="A13" sqref="A13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235</v>
      </c>
      <c r="G3"/>
    </row>
    <row r="6" spans="1:9" ht="19.5" customHeight="1" x14ac:dyDescent="0.2">
      <c r="A6" s="73" t="s">
        <v>189</v>
      </c>
      <c r="C6" s="113" t="s">
        <v>239</v>
      </c>
      <c r="D6" s="113"/>
      <c r="E6" s="113"/>
    </row>
    <row r="8" spans="1:9" ht="19.5" customHeight="1" x14ac:dyDescent="0.2">
      <c r="A8" s="73" t="s">
        <v>188</v>
      </c>
      <c r="C8" s="113" t="s">
        <v>150</v>
      </c>
      <c r="D8" s="113"/>
      <c r="E8" s="113"/>
    </row>
    <row r="12" spans="1:9" ht="69.75" customHeight="1" x14ac:dyDescent="0.2">
      <c r="A12" s="112" t="s">
        <v>247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240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69B98-186C-4614-97CA-196DBFDF299F}">
  <sheetPr codeName="Sheet1">
    <pageSetUpPr fitToPage="1"/>
  </sheetPr>
  <dimension ref="A1:F215"/>
  <sheetViews>
    <sheetView tabSelected="1" zoomScaleNormal="100" workbookViewId="0">
      <selection activeCell="E33" sqref="E33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236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 t="s">
        <v>241</v>
      </c>
      <c r="E5" s="116"/>
    </row>
    <row r="6" spans="1:5" s="1" customFormat="1" ht="13.15" customHeight="1" x14ac:dyDescent="0.15">
      <c r="B6" s="2"/>
      <c r="C6" s="79" t="s">
        <v>1</v>
      </c>
      <c r="D6" s="116" t="s">
        <v>242</v>
      </c>
      <c r="E6" s="116"/>
    </row>
    <row r="7" spans="1:5" s="1" customFormat="1" ht="13.15" customHeight="1" x14ac:dyDescent="0.15">
      <c r="B7" s="2"/>
      <c r="C7" s="79" t="s">
        <v>52</v>
      </c>
      <c r="D7" s="116" t="s">
        <v>243</v>
      </c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 t="s">
        <v>244</v>
      </c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1496284.6</v>
      </c>
    </row>
    <row r="19" spans="3:6" x14ac:dyDescent="0.2">
      <c r="C19" s="11" t="s">
        <v>12</v>
      </c>
      <c r="D19" s="12" t="s">
        <v>165</v>
      </c>
      <c r="E19" s="46">
        <f>'Schedule B'!D35</f>
        <v>285045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1211239.6000000001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638760.76</v>
      </c>
    </row>
    <row r="22" spans="3:6" x14ac:dyDescent="0.2">
      <c r="C22" s="11" t="s">
        <v>15</v>
      </c>
      <c r="D22" s="14" t="s">
        <v>17</v>
      </c>
      <c r="E22" s="46">
        <f>SUM(E20:E21)</f>
        <v>1850000.36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f>734379-E26</f>
        <v>612168.14</v>
      </c>
    </row>
    <row r="26" spans="3:6" x14ac:dyDescent="0.2">
      <c r="C26" s="11" t="s">
        <v>12</v>
      </c>
      <c r="D26" s="12" t="s">
        <v>35</v>
      </c>
      <c r="E26" s="57">
        <f>65247.88+56962.98</f>
        <v>122210.86</v>
      </c>
    </row>
    <row r="27" spans="3:6" x14ac:dyDescent="0.2">
      <c r="C27" s="11" t="s">
        <v>13</v>
      </c>
      <c r="D27" s="12" t="s">
        <v>36</v>
      </c>
      <c r="E27" s="57">
        <f>1432.07+15148.17</f>
        <v>16580.240000000002</v>
      </c>
    </row>
    <row r="28" spans="3:6" x14ac:dyDescent="0.2">
      <c r="C28" s="11" t="s">
        <v>14</v>
      </c>
      <c r="D28" s="12" t="s">
        <v>37</v>
      </c>
      <c r="E28" s="57">
        <v>31341</v>
      </c>
    </row>
    <row r="29" spans="3:6" x14ac:dyDescent="0.2">
      <c r="C29" s="11" t="s">
        <v>15</v>
      </c>
      <c r="D29" s="12" t="s">
        <v>24</v>
      </c>
      <c r="E29" s="57">
        <f>15627+26962.72+1361+9021.48+11745</f>
        <v>64717.2</v>
      </c>
    </row>
    <row r="30" spans="3:6" x14ac:dyDescent="0.2">
      <c r="C30" s="11" t="s">
        <v>16</v>
      </c>
      <c r="D30" s="12" t="s">
        <v>38</v>
      </c>
      <c r="E30" s="57">
        <f>1515</f>
        <v>1515</v>
      </c>
    </row>
    <row r="31" spans="3:6" x14ac:dyDescent="0.2">
      <c r="C31" s="11" t="s">
        <v>18</v>
      </c>
      <c r="D31" s="12" t="s">
        <v>39</v>
      </c>
      <c r="E31" s="57">
        <f>1275+200</f>
        <v>1475</v>
      </c>
    </row>
    <row r="32" spans="3:6" x14ac:dyDescent="0.2">
      <c r="C32" s="11" t="s">
        <v>19</v>
      </c>
      <c r="D32" s="12" t="s">
        <v>40</v>
      </c>
      <c r="E32" s="57">
        <f>31197+7280+16690</f>
        <v>55167</v>
      </c>
    </row>
    <row r="33" spans="3:5" x14ac:dyDescent="0.2">
      <c r="C33" s="11" t="s">
        <v>20</v>
      </c>
      <c r="D33" s="12" t="s">
        <v>41</v>
      </c>
      <c r="E33" s="57">
        <f>26703</f>
        <v>26703</v>
      </c>
    </row>
    <row r="34" spans="3:5" x14ac:dyDescent="0.2">
      <c r="C34" s="11" t="s">
        <v>21</v>
      </c>
      <c r="D34" s="12" t="s">
        <v>42</v>
      </c>
      <c r="E34" s="57">
        <v>24101</v>
      </c>
    </row>
    <row r="35" spans="3:5" x14ac:dyDescent="0.2">
      <c r="C35" s="11" t="s">
        <v>22</v>
      </c>
      <c r="D35" s="12" t="s">
        <v>57</v>
      </c>
      <c r="E35" s="57">
        <f>4094.44+16138</f>
        <v>20232.439999999999</v>
      </c>
    </row>
    <row r="36" spans="3:5" x14ac:dyDescent="0.2">
      <c r="C36" s="11" t="s">
        <v>23</v>
      </c>
      <c r="D36" s="12" t="s">
        <v>58</v>
      </c>
      <c r="E36" s="57">
        <v>17906</v>
      </c>
    </row>
    <row r="37" spans="3:5" x14ac:dyDescent="0.2">
      <c r="C37" s="11" t="s">
        <v>25</v>
      </c>
      <c r="D37" s="12" t="s">
        <v>43</v>
      </c>
      <c r="E37" s="57">
        <v>5383</v>
      </c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>
        <f>45973.28+34438+1604.5</f>
        <v>82015.78</v>
      </c>
    </row>
    <row r="40" spans="3:5" x14ac:dyDescent="0.2">
      <c r="C40" s="11" t="s">
        <v>28</v>
      </c>
      <c r="D40" s="12" t="s">
        <v>46</v>
      </c>
      <c r="E40" s="57">
        <v>13244</v>
      </c>
    </row>
    <row r="41" spans="3:5" x14ac:dyDescent="0.2">
      <c r="C41" s="11" t="s">
        <v>29</v>
      </c>
      <c r="D41" s="12" t="s">
        <v>47</v>
      </c>
      <c r="E41" s="46">
        <f>'Schedule D'!D12</f>
        <v>0</v>
      </c>
    </row>
    <row r="42" spans="3:5" x14ac:dyDescent="0.2">
      <c r="C42" s="11" t="s">
        <v>30</v>
      </c>
      <c r="D42" s="12" t="s">
        <v>48</v>
      </c>
      <c r="E42" s="57">
        <v>17500</v>
      </c>
    </row>
    <row r="43" spans="3:5" x14ac:dyDescent="0.2">
      <c r="C43" s="11" t="s">
        <v>31</v>
      </c>
      <c r="D43" s="12" t="s">
        <v>49</v>
      </c>
      <c r="E43" s="57">
        <f>3085.18+7131+15929.75</f>
        <v>26145.93</v>
      </c>
    </row>
    <row r="44" spans="3:5" x14ac:dyDescent="0.2">
      <c r="C44" s="11" t="s">
        <v>32</v>
      </c>
      <c r="D44" s="12" t="s">
        <v>50</v>
      </c>
      <c r="E44" s="46">
        <f>'Schedule E'!D26</f>
        <v>392233.76999999996</v>
      </c>
    </row>
    <row r="45" spans="3:5" x14ac:dyDescent="0.2">
      <c r="C45" s="11" t="s">
        <v>33</v>
      </c>
      <c r="D45" s="17" t="s">
        <v>59</v>
      </c>
      <c r="E45" s="86">
        <f>SUM(E25:E44)</f>
        <v>1530639.3599999999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319361.00000000023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/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>
        <f>25000+4501.76</f>
        <v>29501.760000000002</v>
      </c>
    </row>
    <row r="55" spans="3:5" x14ac:dyDescent="0.2">
      <c r="C55" s="11" t="s">
        <v>15</v>
      </c>
      <c r="D55" s="12" t="s">
        <v>66</v>
      </c>
      <c r="E55" s="57">
        <f>'Schedule E'!D10/2</f>
        <v>1978.895</v>
      </c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31480.655000000002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287880.3450000002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/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/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5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9C19-802B-486F-A688-B0F6741F6D67}">
  <sheetPr codeName="Sheet2">
    <pageSetUpPr fitToPage="1"/>
  </sheetPr>
  <dimension ref="A1:E181"/>
  <sheetViews>
    <sheetView zoomScaleNormal="100" workbookViewId="0">
      <selection activeCell="D31" sqref="D31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>
        <v>110495.6</v>
      </c>
      <c r="D11" s="50">
        <v>20145</v>
      </c>
      <c r="E11" s="46">
        <f t="shared" ref="E11:E34" si="0">C11-D11</f>
        <v>90350.6</v>
      </c>
    </row>
    <row r="12" spans="1:5" ht="14.25" customHeight="1" x14ac:dyDescent="0.2">
      <c r="B12" s="42" t="s">
        <v>234</v>
      </c>
      <c r="C12" s="52"/>
      <c r="D12" s="52"/>
      <c r="E12" s="46">
        <f>C12-D12</f>
        <v>0</v>
      </c>
    </row>
    <row r="13" spans="1:5" ht="14.25" customHeight="1" x14ac:dyDescent="0.2">
      <c r="B13" s="42" t="s">
        <v>237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>
        <v>208189</v>
      </c>
      <c r="D16" s="50">
        <v>35529</v>
      </c>
      <c r="E16" s="46">
        <f t="shared" si="0"/>
        <v>172660</v>
      </c>
    </row>
    <row r="17" spans="2:5" ht="14.25" customHeight="1" x14ac:dyDescent="0.2">
      <c r="B17" s="42" t="s">
        <v>120</v>
      </c>
      <c r="C17" s="52">
        <v>74038</v>
      </c>
      <c r="D17" s="50">
        <v>19070</v>
      </c>
      <c r="E17" s="46">
        <f t="shared" si="0"/>
        <v>54968</v>
      </c>
    </row>
    <row r="18" spans="2:5" ht="14.25" customHeight="1" x14ac:dyDescent="0.2">
      <c r="B18" s="42" t="s">
        <v>238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232</v>
      </c>
      <c r="C19" s="52"/>
      <c r="D19" s="50"/>
      <c r="E19" s="46">
        <f>C19-D19</f>
        <v>0</v>
      </c>
    </row>
    <row r="20" spans="2:5" ht="14.25" customHeight="1" x14ac:dyDescent="0.2">
      <c r="B20" s="42" t="s">
        <v>233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>
        <v>105463</v>
      </c>
      <c r="D21" s="50">
        <v>23963</v>
      </c>
      <c r="E21" s="46">
        <f t="shared" si="0"/>
        <v>81500</v>
      </c>
    </row>
    <row r="22" spans="2:5" ht="14.25" customHeight="1" x14ac:dyDescent="0.2">
      <c r="B22" s="42" t="s">
        <v>228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122</v>
      </c>
      <c r="C23" s="52">
        <v>187794</v>
      </c>
      <c r="D23" s="50">
        <v>46811</v>
      </c>
      <c r="E23" s="46">
        <f t="shared" si="0"/>
        <v>140983</v>
      </c>
    </row>
    <row r="24" spans="2:5" ht="14.25" customHeight="1" x14ac:dyDescent="0.2">
      <c r="B24" s="42" t="s">
        <v>216</v>
      </c>
      <c r="C24" s="52">
        <v>274469</v>
      </c>
      <c r="D24" s="50">
        <v>42638</v>
      </c>
      <c r="E24" s="46">
        <f t="shared" si="0"/>
        <v>231831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>
        <v>279402</v>
      </c>
      <c r="D30" s="50">
        <v>49215</v>
      </c>
      <c r="E30" s="46">
        <f t="shared" si="0"/>
        <v>230187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>
        <v>256434</v>
      </c>
      <c r="D33" s="50">
        <v>47674</v>
      </c>
      <c r="E33" s="46">
        <f t="shared" si="0"/>
        <v>208760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1496284.6</v>
      </c>
      <c r="D35" s="12">
        <f>SUM(D9:D34)</f>
        <v>285045</v>
      </c>
      <c r="E35" s="12">
        <f>SUM(E9:E34)</f>
        <v>1211239.6000000001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0.19050186040810685</v>
      </c>
    </row>
    <row r="40" spans="1:5" x14ac:dyDescent="0.2">
      <c r="A40" s="24"/>
    </row>
    <row r="41" spans="1:5" ht="31.15" customHeight="1" x14ac:dyDescent="0.25">
      <c r="A41" s="24"/>
      <c r="B41" s="125"/>
      <c r="C41" s="125"/>
      <c r="D41" s="125"/>
      <c r="E41" s="125"/>
    </row>
    <row r="42" spans="1:5" ht="15.75" x14ac:dyDescent="0.25">
      <c r="A42" s="24"/>
      <c r="B42" s="125"/>
      <c r="C42" s="125"/>
      <c r="D42" s="125"/>
      <c r="E42" s="125"/>
    </row>
    <row r="43" spans="1:5" x14ac:dyDescent="0.2">
      <c r="A43" s="24"/>
    </row>
    <row r="44" spans="1:5" ht="15.75" x14ac:dyDescent="0.25">
      <c r="A44" s="24"/>
      <c r="B44" s="125" t="str">
        <f>IF(D42=0," ",IF(D42&lt;19.95%,"PERCENTAGE OF PREMIUMS REMITTED MUST BE GREATER THAN OR EQUAL TO 20%",""))</f>
        <v xml:space="preserve"> </v>
      </c>
      <c r="C44" s="125"/>
      <c r="D44" s="125"/>
      <c r="E44" s="125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scale="8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BBFE-1F63-4C43-A675-EE6C9B762073}">
  <sheetPr codeName="Sheet3">
    <pageSetUpPr fitToPage="1"/>
  </sheetPr>
  <dimension ref="B1:H168"/>
  <sheetViews>
    <sheetView zoomScaleNormal="100" workbookViewId="0">
      <selection activeCell="F22" sqref="F22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35" t="s">
        <v>84</v>
      </c>
      <c r="E2" s="135"/>
    </row>
    <row r="3" spans="2:8" s="1" customFormat="1" ht="35.65" customHeight="1" x14ac:dyDescent="0.15">
      <c r="B3" s="2"/>
      <c r="D3" s="138" t="str">
        <f>'Schedule A'!D3</f>
        <v>For the Calendar Year Ending December 31, 2024</v>
      </c>
      <c r="E3" s="138"/>
    </row>
    <row r="4" spans="2:8" s="84" customFormat="1" ht="29.65" customHeight="1" x14ac:dyDescent="0.2">
      <c r="C4" s="83"/>
      <c r="D4" s="139"/>
      <c r="E4" s="139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36" t="s">
        <v>3</v>
      </c>
      <c r="E6" s="137"/>
      <c r="F6" s="56">
        <v>324448</v>
      </c>
    </row>
    <row r="7" spans="2:8" ht="14.25" customHeight="1" x14ac:dyDescent="0.2">
      <c r="C7" s="37" t="s">
        <v>12</v>
      </c>
      <c r="D7" s="128" t="s">
        <v>4</v>
      </c>
      <c r="E7" s="129"/>
      <c r="F7" s="57">
        <v>15076.98</v>
      </c>
    </row>
    <row r="8" spans="2:8" ht="14.25" customHeight="1" x14ac:dyDescent="0.2">
      <c r="C8" s="37" t="s">
        <v>13</v>
      </c>
      <c r="D8" s="128" t="s">
        <v>5</v>
      </c>
      <c r="E8" s="129"/>
      <c r="F8" s="57"/>
    </row>
    <row r="9" spans="2:8" s="13" customFormat="1" ht="14.25" customHeight="1" x14ac:dyDescent="0.2">
      <c r="C9" s="37" t="s">
        <v>14</v>
      </c>
      <c r="D9" s="128" t="s">
        <v>6</v>
      </c>
      <c r="E9" s="129"/>
      <c r="F9" s="57">
        <v>16655</v>
      </c>
      <c r="G9" s="6"/>
      <c r="H9" s="6"/>
    </row>
    <row r="10" spans="2:8" ht="14.25" customHeight="1" x14ac:dyDescent="0.2">
      <c r="C10" s="37" t="s">
        <v>15</v>
      </c>
      <c r="D10" s="128" t="s">
        <v>7</v>
      </c>
      <c r="E10" s="129"/>
      <c r="F10" s="57"/>
    </row>
    <row r="11" spans="2:8" ht="14.25" customHeight="1" x14ac:dyDescent="0.2">
      <c r="C11" s="37" t="s">
        <v>16</v>
      </c>
      <c r="D11" s="128" t="s">
        <v>8</v>
      </c>
      <c r="E11" s="129"/>
      <c r="F11" s="57">
        <v>3583</v>
      </c>
    </row>
    <row r="12" spans="2:8" ht="14.25" customHeight="1" x14ac:dyDescent="0.2">
      <c r="D12" s="140"/>
      <c r="E12" s="140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0" t="s">
        <v>258</v>
      </c>
      <c r="E14" s="131"/>
      <c r="F14" s="56">
        <v>14731.08</v>
      </c>
    </row>
    <row r="15" spans="2:8" ht="14.25" customHeight="1" x14ac:dyDescent="0.2">
      <c r="C15" s="37" t="s">
        <v>19</v>
      </c>
      <c r="D15" s="126" t="s">
        <v>259</v>
      </c>
      <c r="E15" s="127"/>
      <c r="F15" s="57">
        <v>78886.5</v>
      </c>
    </row>
    <row r="16" spans="2:8" ht="14.25" customHeight="1" x14ac:dyDescent="0.2">
      <c r="C16" s="37" t="s">
        <v>20</v>
      </c>
      <c r="D16" s="126" t="s">
        <v>260</v>
      </c>
      <c r="E16" s="127"/>
      <c r="F16" s="57">
        <v>12145.48</v>
      </c>
    </row>
    <row r="17" spans="2:7" ht="14.25" customHeight="1" x14ac:dyDescent="0.2">
      <c r="C17" s="37" t="s">
        <v>21</v>
      </c>
      <c r="D17" s="126" t="s">
        <v>261</v>
      </c>
      <c r="E17" s="127"/>
      <c r="F17" s="57">
        <v>1408.49</v>
      </c>
    </row>
    <row r="18" spans="2:7" ht="14.25" customHeight="1" x14ac:dyDescent="0.2">
      <c r="C18" s="37" t="s">
        <v>22</v>
      </c>
      <c r="D18" s="126" t="s">
        <v>262</v>
      </c>
      <c r="E18" s="127"/>
      <c r="F18" s="57">
        <v>19.18</v>
      </c>
    </row>
    <row r="19" spans="2:7" ht="14.25" customHeight="1" x14ac:dyDescent="0.2">
      <c r="C19" s="37" t="s">
        <v>23</v>
      </c>
      <c r="D19" s="126" t="s">
        <v>263</v>
      </c>
      <c r="E19" s="127"/>
      <c r="F19" s="57">
        <v>135975.53</v>
      </c>
    </row>
    <row r="20" spans="2:7" ht="14.25" customHeight="1" x14ac:dyDescent="0.2">
      <c r="C20" s="37" t="s">
        <v>25</v>
      </c>
      <c r="D20" s="126" t="s">
        <v>264</v>
      </c>
      <c r="E20" s="127"/>
      <c r="F20" s="57">
        <v>1123.52</v>
      </c>
    </row>
    <row r="21" spans="2:7" ht="14.25" customHeight="1" x14ac:dyDescent="0.2">
      <c r="C21" s="37" t="s">
        <v>26</v>
      </c>
      <c r="D21" s="126" t="s">
        <v>251</v>
      </c>
      <c r="E21" s="127"/>
      <c r="F21" s="57">
        <v>34708</v>
      </c>
    </row>
    <row r="22" spans="2:7" ht="14.25" customHeight="1" x14ac:dyDescent="0.2">
      <c r="C22" s="37" t="s">
        <v>27</v>
      </c>
      <c r="D22" s="126"/>
      <c r="E22" s="127"/>
      <c r="F22" s="57"/>
    </row>
    <row r="23" spans="2:7" ht="14.25" customHeight="1" x14ac:dyDescent="0.2">
      <c r="C23" s="37" t="s">
        <v>28</v>
      </c>
      <c r="D23" s="126"/>
      <c r="E23" s="127"/>
      <c r="F23" s="57"/>
    </row>
    <row r="24" spans="2:7" ht="14.25" customHeight="1" x14ac:dyDescent="0.2">
      <c r="C24" s="37" t="s">
        <v>29</v>
      </c>
      <c r="D24" s="126"/>
      <c r="E24" s="127"/>
      <c r="F24" s="57"/>
    </row>
    <row r="25" spans="2:7" ht="14.25" customHeight="1" x14ac:dyDescent="0.2">
      <c r="C25" s="37" t="s">
        <v>30</v>
      </c>
      <c r="D25" s="126"/>
      <c r="E25" s="127"/>
      <c r="F25" s="57"/>
    </row>
    <row r="26" spans="2:7" ht="14.25" customHeight="1" x14ac:dyDescent="0.2">
      <c r="C26" s="37" t="s">
        <v>31</v>
      </c>
      <c r="D26" s="126"/>
      <c r="E26" s="127"/>
      <c r="F26" s="57"/>
    </row>
    <row r="27" spans="2:7" ht="14.25" customHeight="1" x14ac:dyDescent="0.2">
      <c r="B27"/>
      <c r="C27"/>
      <c r="D27" s="132"/>
      <c r="E27" s="132"/>
      <c r="F27"/>
      <c r="G27"/>
    </row>
    <row r="28" spans="2:7" ht="14.25" customHeight="1" x14ac:dyDescent="0.2">
      <c r="C28" s="95"/>
      <c r="D28" s="128" t="s">
        <v>180</v>
      </c>
      <c r="E28" s="129"/>
      <c r="F28" s="46">
        <f>SUM(F6:F26)</f>
        <v>638760.76</v>
      </c>
    </row>
    <row r="29" spans="2:7" x14ac:dyDescent="0.2">
      <c r="B29" s="24"/>
      <c r="D29" s="133"/>
      <c r="E29" s="133"/>
    </row>
    <row r="30" spans="2:7" x14ac:dyDescent="0.2">
      <c r="B30" s="24"/>
      <c r="D30" s="134"/>
      <c r="E30" s="134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7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9A1C-1A41-4CEB-BBF0-7E27FCECD116}">
  <sheetPr codeName="Sheet4">
    <pageSetUpPr fitToPage="1"/>
  </sheetPr>
  <dimension ref="A1:E152"/>
  <sheetViews>
    <sheetView zoomScaleNormal="100" workbookViewId="0">
      <selection activeCell="D9" sqref="D9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/>
    </row>
    <row r="7" spans="1:5" ht="15" customHeight="1" x14ac:dyDescent="0.2">
      <c r="B7" s="37" t="s">
        <v>12</v>
      </c>
      <c r="C7" s="12" t="s">
        <v>88</v>
      </c>
      <c r="D7" s="57"/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/>
      <c r="E9" s="6"/>
    </row>
    <row r="10" spans="1:5" ht="15" customHeight="1" x14ac:dyDescent="0.2">
      <c r="B10" s="37" t="s">
        <v>15</v>
      </c>
      <c r="C10" s="12" t="s">
        <v>91</v>
      </c>
      <c r="D10" s="57"/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0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4C8CB-3C71-4650-AB79-2D04CE6B5C97}">
  <sheetPr codeName="Sheet5">
    <pageSetUpPr fitToPage="1"/>
  </sheetPr>
  <dimension ref="A1:F189"/>
  <sheetViews>
    <sheetView zoomScaleNormal="100" workbookViewId="0">
      <selection activeCell="C17" sqref="C17:D17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248</v>
      </c>
      <c r="D6" s="56">
        <f>35+15950</f>
        <v>15985</v>
      </c>
    </row>
    <row r="7" spans="1:4" x14ac:dyDescent="0.2">
      <c r="B7" s="36" t="s">
        <v>12</v>
      </c>
      <c r="C7" s="60" t="s">
        <v>249</v>
      </c>
      <c r="D7" s="56">
        <f>5777.59+7560+973.69+18312.03+39723.19-4383</f>
        <v>67963.5</v>
      </c>
    </row>
    <row r="8" spans="1:4" x14ac:dyDescent="0.2">
      <c r="B8" s="36" t="s">
        <v>13</v>
      </c>
      <c r="C8" s="60" t="s">
        <v>250</v>
      </c>
      <c r="D8" s="56">
        <f>24637.67</f>
        <v>24637.67</v>
      </c>
    </row>
    <row r="9" spans="1:4" x14ac:dyDescent="0.2">
      <c r="B9" s="36" t="s">
        <v>14</v>
      </c>
      <c r="C9" s="60" t="s">
        <v>265</v>
      </c>
      <c r="D9" s="56">
        <v>212500</v>
      </c>
    </row>
    <row r="10" spans="1:4" x14ac:dyDescent="0.2">
      <c r="B10" s="36" t="s">
        <v>15</v>
      </c>
      <c r="C10" s="60" t="s">
        <v>252</v>
      </c>
      <c r="D10" s="56">
        <f>3752+205.79</f>
        <v>3957.79</v>
      </c>
    </row>
    <row r="11" spans="1:4" x14ac:dyDescent="0.2">
      <c r="B11" s="36" t="s">
        <v>16</v>
      </c>
      <c r="C11" s="60" t="s">
        <v>253</v>
      </c>
      <c r="D11" s="56">
        <f>8643.54</f>
        <v>8643.5400000000009</v>
      </c>
    </row>
    <row r="12" spans="1:4" x14ac:dyDescent="0.2">
      <c r="B12" s="36" t="s">
        <v>18</v>
      </c>
      <c r="C12" s="60" t="s">
        <v>255</v>
      </c>
      <c r="D12" s="56">
        <f>37220-31340.73</f>
        <v>5879.27</v>
      </c>
    </row>
    <row r="13" spans="1:4" x14ac:dyDescent="0.2">
      <c r="B13" s="36" t="s">
        <v>19</v>
      </c>
      <c r="C13" s="60" t="s">
        <v>254</v>
      </c>
      <c r="D13" s="56">
        <v>11959</v>
      </c>
    </row>
    <row r="14" spans="1:4" x14ac:dyDescent="0.2">
      <c r="B14" s="36" t="s">
        <v>20</v>
      </c>
      <c r="C14" s="60" t="s">
        <v>266</v>
      </c>
      <c r="D14" s="56">
        <v>517</v>
      </c>
    </row>
    <row r="15" spans="1:4" x14ac:dyDescent="0.2">
      <c r="B15" s="36" t="s">
        <v>21</v>
      </c>
      <c r="C15" s="60" t="s">
        <v>256</v>
      </c>
      <c r="D15" s="56">
        <v>10741</v>
      </c>
    </row>
    <row r="16" spans="1:4" x14ac:dyDescent="0.2">
      <c r="B16" s="36" t="s">
        <v>22</v>
      </c>
      <c r="C16" s="60" t="s">
        <v>257</v>
      </c>
      <c r="D16" s="56">
        <v>29450</v>
      </c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392233.76999999996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CA14-E8EE-4B64-931E-0BAF390A628F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068F2B7B-A8EB-409E-A339-0C71B72292F4}">
      <formula1>$D$23:$D$24</formula1>
    </dataValidation>
    <dataValidation type="list" allowBlank="1" showInputMessage="1" showErrorMessage="1" sqref="E10:E19" xr:uid="{A9773443-66F7-4AAA-9220-28135AAB7E5C}">
      <formula1>$D$28:$D$29</formula1>
    </dataValidation>
  </dataValidations>
  <printOptions horizontalCentered="1"/>
  <pageMargins left="0.75" right="0.75" top="1" bottom="1" header="0.5" footer="0.5"/>
  <pageSetup scale="83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5D2E-F3FA-4515-903C-15755ECF4AA0}">
  <sheetPr codeName="Sheet8">
    <pageSetUpPr fitToPage="1"/>
  </sheetPr>
  <dimension ref="A1:E170"/>
  <sheetViews>
    <sheetView zoomScaleNormal="100" workbookViewId="0">
      <selection activeCell="C27" sqref="C27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/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>
        <v>1496285</v>
      </c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1496285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1496284.6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8477-F52A-40C1-99D0-958DCD1DDB47}">
  <sheetPr codeName="Sheet9">
    <pageSetUpPr fitToPage="1"/>
  </sheetPr>
  <dimension ref="A1:G146"/>
  <sheetViews>
    <sheetView zoomScaleNormal="100" workbookViewId="0">
      <selection activeCell="B14" sqref="B14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245</v>
      </c>
      <c r="C8" s="65">
        <v>0.5</v>
      </c>
      <c r="D8" s="59" t="s">
        <v>110</v>
      </c>
      <c r="E8"/>
    </row>
    <row r="9" spans="1:5" x14ac:dyDescent="0.2">
      <c r="B9" s="63" t="s">
        <v>246</v>
      </c>
      <c r="C9" s="66">
        <v>0.5</v>
      </c>
      <c r="D9" s="60" t="s">
        <v>110</v>
      </c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5540894B-1611-48E1-A828-282E09925F97}">
      <formula1>$C$25:$C$32</formula1>
    </dataValidation>
  </dataValidations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2025-05-13T18:42:54Z</cp:lastPrinted>
  <dcterms:created xsi:type="dcterms:W3CDTF">2000-09-18T16:48:49Z</dcterms:created>
  <dcterms:modified xsi:type="dcterms:W3CDTF">2025-07-07T22:15:40Z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